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'Foaie1'!$A$1:$R$49</definedName>
  </definedNames>
  <calcPr fullCalcOnLoad="1"/>
</workbook>
</file>

<file path=xl/sharedStrings.xml><?xml version="1.0" encoding="utf-8"?>
<sst xmlns="http://schemas.openxmlformats.org/spreadsheetml/2006/main" count="61" uniqueCount="60">
  <si>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</si>
  <si>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</si>
  <si>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</si>
  <si>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</si>
  <si>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</si>
  <si>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</si>
  <si>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</si>
  <si>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</si>
  <si>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</si>
  <si>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</si>
  <si>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</si>
  <si>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</si>
  <si>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</si>
  <si>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</si>
  <si>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</si>
  <si>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</si>
  <si>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</si>
  <si>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</si>
  <si>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</si>
  <si>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</si>
  <si>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</si>
  <si>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</si>
  <si>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</si>
  <si>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</si>
  <si>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</si>
  <si>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</si>
  <si>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</si>
  <si>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</si>
  <si>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</si>
  <si>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 xml:space="preserve"> SPITALUL CLINIC MUNICIPAL DE URGENTA TIMISOARA</t>
  </si>
  <si>
    <t xml:space="preserve">TOTAL VAL APARATE 50% RECUP </t>
  </si>
  <si>
    <t>SC POLICLINICA SANITAS</t>
  </si>
  <si>
    <t>PUNCTE APARATE (B/A*A1)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</si>
  <si>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</si>
  <si>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</si>
  <si>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</si>
  <si>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</si>
  <si>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</si>
  <si>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SC CENTRUL MEDICAL ORTHOPEDICS SRL</t>
  </si>
  <si>
    <t>ACUPUNCTURA PROCENT DIN RECUPERARE</t>
  </si>
  <si>
    <t>10,3%</t>
  </si>
  <si>
    <t xml:space="preserve">TOTAL VAL PERSONAL 50% RECUP </t>
  </si>
  <si>
    <t>TOTAL PROCEDURI/APARATE/ORA (a)</t>
  </si>
  <si>
    <t>SC AVS BALNEO THETAPY SRL</t>
  </si>
  <si>
    <t xml:space="preserve">BUGET RECUPERARE AN 2021 </t>
  </si>
  <si>
    <t>VALOARE ALOCATA ACUPUNCTURA AN 2021 -PROCENT 10,3% DIN TOTAL BUGET RECUPERARE -AN 2021</t>
  </si>
  <si>
    <t>TOTAL  VALOARE CONTRACT RECUPERARE SI ACUPUNCTURA IANUARIE-DECEMBRIE 2021</t>
  </si>
  <si>
    <t>VALOARE DISPONIBILA DE SUPL PERIOADA OCT-NOV 2021 ACUPUNCTURA (17.304.VAL DIN RECTIFICARE BUGET SI 16,00 LEI DISPONIBIL SUME)</t>
  </si>
  <si>
    <t>VAL RECUPERARE IAN-DEC  2021 FARA ACUPUNCTURA</t>
  </si>
  <si>
    <t>VAL CONTR RECUPERARE/  IAN-DEC 2021</t>
  </si>
  <si>
    <t>VALOARE DISPONIBILA DE SUPL PERIOADA OCT-NOV 2021 RECUPERARE (150.696,00 VAL DIN RECTIFICARE BUGET SI 11.864,00 LEI DISPONIBIL SUME)</t>
  </si>
  <si>
    <t>VAL PCT APARAT OCT-NOV  2021</t>
  </si>
  <si>
    <t>VAL PCT PERSONAL OCT-NOV 2021</t>
  </si>
  <si>
    <t>TOTAL VALOARE CONTRACT PENTRU  PERIOADA OCT-NOV 2021</t>
  </si>
  <si>
    <t>VALOARE CONTRACT LUNA OCTOMBRIE 2021</t>
  </si>
  <si>
    <t>VALOARE CONTRACT LUNA NOIEMBRIE 2021</t>
  </si>
  <si>
    <t>REPARTIZATE CONFORM PUNCTAJELOR PENTRU FURNIZORII DE SERVICII MEDICALE DE MEDICINA FIZICA SI DE REABILITARE</t>
  </si>
  <si>
    <t>TOTAL VAL DISPONIBILA DE SUPL DIN RECTIFICARE BUGET SI SUME DISPONIBILE</t>
  </si>
  <si>
    <t>VALOARE CONTRACT ACUPUNCTURA  IAN-DEC 2021</t>
  </si>
  <si>
    <t>SITUATIA  VALORILOR AFERENTE LUNILOR OCTOMBRIE SI NOIEMBRIE 2021 DIN RECTIFICARE BUGETARA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</si>
</sst>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7109375" style="19" customWidth="1"/>
    <col min="2" max="2" width="51.00390625" style="19" customWidth="1"/>
    <col min="3" max="3" width="13.421875" style="19" customWidth="1"/>
    <col min="4" max="4" width="12.00390625" style="19" customWidth="1"/>
    <col min="5" max="5" width="10.421875" style="19" customWidth="1"/>
    <col min="6" max="6" width="8.57421875" style="19" customWidth="1"/>
    <col min="7" max="7" width="11.00390625" style="19" customWidth="1"/>
    <col min="8" max="8" width="10.7109375" style="19" customWidth="1"/>
    <col min="9" max="9" width="11.421875" style="19" customWidth="1"/>
    <col min="10" max="10" width="11.28125" style="19" customWidth="1"/>
    <col min="11" max="11" width="11.140625" style="19" customWidth="1"/>
    <col min="12" max="12" width="10.421875" style="19" customWidth="1"/>
    <col min="13" max="13" width="12.8515625" style="19" customWidth="1"/>
    <col min="14" max="14" width="13.140625" style="19" customWidth="1"/>
    <col min="15" max="15" width="14.57421875" style="19" customWidth="1"/>
    <col min="16" max="16" width="12.7109375" style="19" hidden="1" customWidth="1"/>
    <col min="17" max="17" width="12.7109375" style="19" customWidth="1"/>
    <col min="18" max="18" width="12.57421875" style="19" customWidth="1"/>
    <col min="19" max="16384" width="9.140625" style="19" customWidth="1"/>
  </cols>
  <sheetData>
    <row r="1" spans="3:15" s="7" customFormat="1" ht="12.75">
      <c r="C1" s="16"/>
      <c r="D1" s="16"/>
      <c r="E1" s="16"/>
      <c r="G1" s="16"/>
      <c r="H1" s="16"/>
      <c r="I1" s="16"/>
      <c r="J1" s="16"/>
      <c r="K1" s="16"/>
      <c r="L1" s="16"/>
      <c r="M1" s="16"/>
      <c r="N1" s="16"/>
      <c r="O1" s="16"/>
    </row>
    <row r="2" spans="1:6" ht="18">
      <c r="A2" s="16"/>
      <c r="B2" s="7"/>
      <c r="C2" s="31"/>
      <c r="D2" s="7"/>
      <c r="E2" s="7"/>
      <c r="F2" s="17"/>
    </row>
    <row r="3" spans="1:14" s="7" customFormat="1" ht="18">
      <c r="A3" s="19"/>
      <c r="B3" s="22" t="s">
        <v>59</v>
      </c>
      <c r="C3" s="19"/>
      <c r="D3" s="34"/>
      <c r="E3" s="34"/>
      <c r="F3" s="31"/>
      <c r="G3" s="31"/>
      <c r="H3" s="34"/>
      <c r="I3" s="31"/>
      <c r="J3" s="31"/>
      <c r="K3" s="31"/>
      <c r="L3" s="31"/>
      <c r="M3" s="31"/>
      <c r="N3" s="31"/>
    </row>
    <row r="4" spans="2:14" s="7" customFormat="1" ht="18">
      <c r="B4" s="17" t="s">
        <v>56</v>
      </c>
      <c r="C4" s="19"/>
      <c r="D4" s="40"/>
      <c r="E4" s="40"/>
      <c r="F4" s="40"/>
      <c r="G4" s="40"/>
      <c r="H4" s="34"/>
      <c r="I4" s="31"/>
      <c r="J4" s="31"/>
      <c r="K4" s="31"/>
      <c r="L4" s="31"/>
      <c r="M4" s="31"/>
      <c r="N4" s="31"/>
    </row>
    <row r="5" spans="1:15" s="7" customFormat="1" ht="18">
      <c r="A5" s="16"/>
      <c r="B5" s="29"/>
      <c r="C5" s="17"/>
      <c r="D5" s="19"/>
      <c r="E5" s="19"/>
      <c r="F5" s="19"/>
      <c r="G5" s="19"/>
      <c r="H5" s="16"/>
      <c r="I5" s="16"/>
      <c r="O5" s="25"/>
    </row>
    <row r="6" spans="1:18" s="7" customFormat="1" ht="87.75" customHeight="1">
      <c r="A6" s="21" t="s">
        <v>5</v>
      </c>
      <c r="B6" s="2" t="s">
        <v>0</v>
      </c>
      <c r="C6" s="2" t="s">
        <v>7</v>
      </c>
      <c r="D6" s="2" t="s">
        <v>42</v>
      </c>
      <c r="E6" s="2" t="s">
        <v>33</v>
      </c>
      <c r="F6" s="2" t="s">
        <v>10</v>
      </c>
      <c r="G6" s="2" t="s">
        <v>32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27</v>
      </c>
      <c r="N6" s="2" t="s">
        <v>28</v>
      </c>
      <c r="O6" s="2" t="s">
        <v>53</v>
      </c>
      <c r="P6" s="38" t="s">
        <v>54</v>
      </c>
      <c r="Q6" s="38" t="s">
        <v>54</v>
      </c>
      <c r="R6" s="38" t="s">
        <v>55</v>
      </c>
    </row>
    <row r="7" spans="1:18" ht="53.25" customHeight="1">
      <c r="A7" s="2"/>
      <c r="B7" s="42" t="s">
        <v>34</v>
      </c>
      <c r="C7" s="1">
        <v>0</v>
      </c>
      <c r="D7" s="1">
        <v>0</v>
      </c>
      <c r="E7" s="1">
        <v>0</v>
      </c>
      <c r="F7" s="18">
        <v>0</v>
      </c>
      <c r="G7" s="18">
        <v>0</v>
      </c>
      <c r="H7" s="1">
        <v>0</v>
      </c>
      <c r="I7" s="1">
        <v>0</v>
      </c>
      <c r="J7" s="18">
        <f>G7+H7</f>
        <v>0</v>
      </c>
      <c r="K7" s="1">
        <v>0</v>
      </c>
      <c r="L7" s="18">
        <v>0</v>
      </c>
      <c r="M7" s="18">
        <f>J7*$D$47</f>
        <v>0</v>
      </c>
      <c r="N7" s="18">
        <f>K7*$D$49</f>
        <v>0</v>
      </c>
      <c r="O7" s="18">
        <f>M7+N7</f>
        <v>0</v>
      </c>
      <c r="P7" s="18">
        <f>O7/2</f>
        <v>0</v>
      </c>
      <c r="Q7" s="18">
        <f>ROUND(P7,2)</f>
        <v>0</v>
      </c>
      <c r="R7" s="18">
        <f>O7/2</f>
        <v>0</v>
      </c>
    </row>
    <row r="8" spans="1:18" ht="33" customHeight="1">
      <c r="A8" s="2">
        <v>1</v>
      </c>
      <c r="B8" s="1" t="s">
        <v>12</v>
      </c>
      <c r="C8" s="1">
        <v>250</v>
      </c>
      <c r="D8" s="1">
        <v>104</v>
      </c>
      <c r="E8" s="1">
        <v>110</v>
      </c>
      <c r="F8" s="18">
        <f aca="true" t="shared" si="0" ref="F8:F18">E8/D8</f>
        <v>1.0576923076923077</v>
      </c>
      <c r="G8" s="18">
        <f>C8</f>
        <v>250</v>
      </c>
      <c r="H8" s="1">
        <v>60</v>
      </c>
      <c r="I8" s="1">
        <v>0</v>
      </c>
      <c r="J8" s="18">
        <f aca="true" t="shared" si="1" ref="J8:J13">G8+H8+I8</f>
        <v>310</v>
      </c>
      <c r="K8" s="1">
        <f>185+2</f>
        <v>187</v>
      </c>
      <c r="L8" s="18">
        <f aca="true" t="shared" si="2" ref="L8:L31">J8+K8</f>
        <v>497</v>
      </c>
      <c r="M8" s="18">
        <f aca="true" t="shared" si="3" ref="M8:M31">J8*$D$47</f>
        <v>5732.96315183533</v>
      </c>
      <c r="N8" s="18">
        <f aca="true" t="shared" si="4" ref="N8:N31">K8*$D$49</f>
        <v>6252.539172573234</v>
      </c>
      <c r="O8" s="18">
        <f aca="true" t="shared" si="5" ref="O8:O31">M8+N8</f>
        <v>11985.502324408564</v>
      </c>
      <c r="P8" s="18">
        <f aca="true" t="shared" si="6" ref="P8:P31">O8/2</f>
        <v>5992.751162204282</v>
      </c>
      <c r="Q8" s="18">
        <f aca="true" t="shared" si="7" ref="Q8:Q31">ROUND(P8,2)</f>
        <v>5992.75</v>
      </c>
      <c r="R8" s="18">
        <f aca="true" t="shared" si="8" ref="R8:R31">O8/2</f>
        <v>5992.751162204282</v>
      </c>
    </row>
    <row r="9" spans="1:18" ht="33" customHeight="1">
      <c r="A9" s="2">
        <v>2</v>
      </c>
      <c r="B9" s="1" t="s">
        <v>14</v>
      </c>
      <c r="C9" s="1">
        <v>131</v>
      </c>
      <c r="D9" s="1">
        <v>39</v>
      </c>
      <c r="E9" s="1">
        <v>40</v>
      </c>
      <c r="F9" s="18">
        <f t="shared" si="0"/>
        <v>1.0256410256410255</v>
      </c>
      <c r="G9" s="18">
        <f>C9</f>
        <v>131</v>
      </c>
      <c r="H9" s="1">
        <v>40</v>
      </c>
      <c r="I9" s="1">
        <v>0</v>
      </c>
      <c r="J9" s="18">
        <f t="shared" si="1"/>
        <v>171</v>
      </c>
      <c r="K9" s="1">
        <f>63+2</f>
        <v>65</v>
      </c>
      <c r="L9" s="18">
        <f t="shared" si="2"/>
        <v>236</v>
      </c>
      <c r="M9" s="18">
        <f t="shared" si="3"/>
        <v>3162.376448270456</v>
      </c>
      <c r="N9" s="18">
        <f t="shared" si="4"/>
        <v>2173.342493140429</v>
      </c>
      <c r="O9" s="18">
        <f t="shared" si="5"/>
        <v>5335.718941410885</v>
      </c>
      <c r="P9" s="18">
        <f t="shared" si="6"/>
        <v>2667.8594707054426</v>
      </c>
      <c r="Q9" s="18">
        <f t="shared" si="7"/>
        <v>2667.86</v>
      </c>
      <c r="R9" s="18">
        <f t="shared" si="8"/>
        <v>2667.8594707054426</v>
      </c>
    </row>
    <row r="10" spans="1:18" ht="47.25" customHeight="1">
      <c r="A10" s="2">
        <v>3</v>
      </c>
      <c r="B10" s="1" t="s">
        <v>1</v>
      </c>
      <c r="C10" s="1">
        <v>165</v>
      </c>
      <c r="D10" s="1">
        <v>59</v>
      </c>
      <c r="E10" s="1">
        <v>64</v>
      </c>
      <c r="F10" s="18">
        <f t="shared" si="0"/>
        <v>1.0847457627118644</v>
      </c>
      <c r="G10" s="18">
        <f>C10</f>
        <v>165</v>
      </c>
      <c r="H10" s="1">
        <v>60</v>
      </c>
      <c r="I10" s="1">
        <v>16</v>
      </c>
      <c r="J10" s="18">
        <f t="shared" si="1"/>
        <v>241</v>
      </c>
      <c r="K10" s="1">
        <f>110+2</f>
        <v>112</v>
      </c>
      <c r="L10" s="18">
        <f t="shared" si="2"/>
        <v>353</v>
      </c>
      <c r="M10" s="18">
        <f t="shared" si="3"/>
        <v>4456.916514813917</v>
      </c>
      <c r="N10" s="18">
        <f t="shared" si="4"/>
        <v>3744.836295872739</v>
      </c>
      <c r="O10" s="18">
        <f t="shared" si="5"/>
        <v>8201.752810686656</v>
      </c>
      <c r="P10" s="18">
        <f t="shared" si="6"/>
        <v>4100.876405343328</v>
      </c>
      <c r="Q10" s="18">
        <f t="shared" si="7"/>
        <v>4100.88</v>
      </c>
      <c r="R10" s="18">
        <f t="shared" si="8"/>
        <v>4100.876405343328</v>
      </c>
    </row>
    <row r="11" spans="1:18" ht="38.25" customHeight="1">
      <c r="A11" s="2">
        <v>4</v>
      </c>
      <c r="B11" s="1" t="s">
        <v>15</v>
      </c>
      <c r="C11" s="1">
        <v>50</v>
      </c>
      <c r="D11" s="1">
        <v>21</v>
      </c>
      <c r="E11" s="1">
        <v>20</v>
      </c>
      <c r="F11" s="18">
        <f t="shared" si="0"/>
        <v>0.9523809523809523</v>
      </c>
      <c r="G11" s="18">
        <f>F11*C11</f>
        <v>47.61904761904761</v>
      </c>
      <c r="H11" s="1">
        <v>60</v>
      </c>
      <c r="I11" s="1">
        <v>0</v>
      </c>
      <c r="J11" s="18">
        <f t="shared" si="1"/>
        <v>107.61904761904762</v>
      </c>
      <c r="K11" s="1">
        <f>45+2</f>
        <v>47</v>
      </c>
      <c r="L11" s="18">
        <f t="shared" si="2"/>
        <v>154.61904761904762</v>
      </c>
      <c r="M11" s="18">
        <f t="shared" si="3"/>
        <v>1990.245272372941</v>
      </c>
      <c r="N11" s="18">
        <f t="shared" si="4"/>
        <v>1571.49380273231</v>
      </c>
      <c r="O11" s="18">
        <f t="shared" si="5"/>
        <v>3561.739075105251</v>
      </c>
      <c r="P11" s="18">
        <f t="shared" si="6"/>
        <v>1780.8695375526254</v>
      </c>
      <c r="Q11" s="18">
        <f t="shared" si="7"/>
        <v>1780.87</v>
      </c>
      <c r="R11" s="18">
        <f t="shared" si="8"/>
        <v>1780.8695375526254</v>
      </c>
    </row>
    <row r="12" spans="1:18" ht="37.5" customHeight="1">
      <c r="A12" s="2">
        <v>5</v>
      </c>
      <c r="B12" s="1" t="s">
        <v>25</v>
      </c>
      <c r="C12" s="1">
        <v>175</v>
      </c>
      <c r="D12" s="1">
        <v>58</v>
      </c>
      <c r="E12" s="1">
        <v>60</v>
      </c>
      <c r="F12" s="18">
        <f t="shared" si="0"/>
        <v>1.0344827586206897</v>
      </c>
      <c r="G12" s="18">
        <f>C12</f>
        <v>175</v>
      </c>
      <c r="H12" s="1">
        <v>60</v>
      </c>
      <c r="I12" s="1">
        <v>0</v>
      </c>
      <c r="J12" s="18">
        <f>G12+H12+I12</f>
        <v>235</v>
      </c>
      <c r="K12" s="1">
        <f>131+3.75-18-1.75</f>
        <v>115</v>
      </c>
      <c r="L12" s="18">
        <f>J12+K12</f>
        <v>350</v>
      </c>
      <c r="M12" s="18">
        <f t="shared" si="3"/>
        <v>4345.9559376816205</v>
      </c>
      <c r="N12" s="18">
        <f t="shared" si="4"/>
        <v>3845.144410940759</v>
      </c>
      <c r="O12" s="18">
        <f t="shared" si="5"/>
        <v>8191.10034862238</v>
      </c>
      <c r="P12" s="18">
        <f t="shared" si="6"/>
        <v>4095.55017431119</v>
      </c>
      <c r="Q12" s="18">
        <f t="shared" si="7"/>
        <v>4095.55</v>
      </c>
      <c r="R12" s="18">
        <f t="shared" si="8"/>
        <v>4095.55017431119</v>
      </c>
    </row>
    <row r="13" spans="1:18" ht="42" customHeight="1">
      <c r="A13" s="2">
        <v>6</v>
      </c>
      <c r="B13" s="1" t="s">
        <v>19</v>
      </c>
      <c r="C13" s="1">
        <v>160</v>
      </c>
      <c r="D13" s="1">
        <v>65</v>
      </c>
      <c r="E13" s="1">
        <v>65</v>
      </c>
      <c r="F13" s="18">
        <f t="shared" si="0"/>
        <v>1</v>
      </c>
      <c r="G13" s="18">
        <f>F13*C13</f>
        <v>160</v>
      </c>
      <c r="H13" s="1">
        <v>60</v>
      </c>
      <c r="I13" s="1">
        <v>0</v>
      </c>
      <c r="J13" s="18">
        <f t="shared" si="1"/>
        <v>220</v>
      </c>
      <c r="K13" s="1">
        <f>120.5+3.75</f>
        <v>124.25</v>
      </c>
      <c r="L13" s="18">
        <f>J13+K13</f>
        <v>344.25</v>
      </c>
      <c r="M13" s="18">
        <f t="shared" si="3"/>
        <v>4068.554494850879</v>
      </c>
      <c r="N13" s="18">
        <f t="shared" si="4"/>
        <v>4154.42776573382</v>
      </c>
      <c r="O13" s="18">
        <f t="shared" si="5"/>
        <v>8222.982260584698</v>
      </c>
      <c r="P13" s="18">
        <f t="shared" si="6"/>
        <v>4111.491130292349</v>
      </c>
      <c r="Q13" s="18">
        <f t="shared" si="7"/>
        <v>4111.49</v>
      </c>
      <c r="R13" s="18">
        <f t="shared" si="8"/>
        <v>4111.491130292349</v>
      </c>
    </row>
    <row r="14" spans="1:18" ht="39.75" customHeight="1">
      <c r="A14" s="2">
        <v>7</v>
      </c>
      <c r="B14" s="1" t="s">
        <v>4</v>
      </c>
      <c r="C14" s="1">
        <v>99</v>
      </c>
      <c r="D14" s="1">
        <v>39</v>
      </c>
      <c r="E14" s="1">
        <v>40</v>
      </c>
      <c r="F14" s="18">
        <f t="shared" si="0"/>
        <v>1.0256410256410255</v>
      </c>
      <c r="G14" s="18">
        <f>C14</f>
        <v>99</v>
      </c>
      <c r="H14" s="1">
        <v>40</v>
      </c>
      <c r="I14" s="1">
        <v>0</v>
      </c>
      <c r="J14" s="18">
        <f aca="true" t="shared" si="9" ref="J14:J25">G14+H14+I14</f>
        <v>139</v>
      </c>
      <c r="K14" s="1">
        <f>93+4.38</f>
        <v>97.38</v>
      </c>
      <c r="L14" s="18">
        <f t="shared" si="2"/>
        <v>236.38</v>
      </c>
      <c r="M14" s="18">
        <f t="shared" si="3"/>
        <v>2570.5867035648735</v>
      </c>
      <c r="N14" s="18">
        <f t="shared" si="4"/>
        <v>3256.001415107922</v>
      </c>
      <c r="O14" s="18">
        <f t="shared" si="5"/>
        <v>5826.588118672796</v>
      </c>
      <c r="P14" s="18">
        <f t="shared" si="6"/>
        <v>2913.294059336398</v>
      </c>
      <c r="Q14" s="18">
        <f t="shared" si="7"/>
        <v>2913.29</v>
      </c>
      <c r="R14" s="18">
        <f t="shared" si="8"/>
        <v>2913.294059336398</v>
      </c>
    </row>
    <row r="15" spans="1:18" ht="39.75" customHeight="1">
      <c r="A15" s="2">
        <v>8</v>
      </c>
      <c r="B15" s="1" t="s">
        <v>43</v>
      </c>
      <c r="C15" s="1">
        <v>89</v>
      </c>
      <c r="D15" s="1">
        <v>38</v>
      </c>
      <c r="E15" s="1">
        <v>35</v>
      </c>
      <c r="F15" s="18">
        <f t="shared" si="0"/>
        <v>0.9210526315789473</v>
      </c>
      <c r="G15" s="18">
        <f>F15*C15</f>
        <v>81.97368421052632</v>
      </c>
      <c r="H15" s="1">
        <v>40</v>
      </c>
      <c r="I15" s="1">
        <v>0</v>
      </c>
      <c r="J15" s="18">
        <f t="shared" si="9"/>
        <v>121.97368421052632</v>
      </c>
      <c r="K15" s="1">
        <f>60.5+2</f>
        <v>62.5</v>
      </c>
      <c r="L15" s="18">
        <f t="shared" si="2"/>
        <v>184.4736842105263</v>
      </c>
      <c r="M15" s="18">
        <f t="shared" si="3"/>
        <v>2255.711732492084</v>
      </c>
      <c r="N15" s="18">
        <f t="shared" si="4"/>
        <v>2089.7523972504123</v>
      </c>
      <c r="O15" s="18">
        <f t="shared" si="5"/>
        <v>4345.464129742497</v>
      </c>
      <c r="P15" s="18">
        <f t="shared" si="6"/>
        <v>2172.7320648712484</v>
      </c>
      <c r="Q15" s="18">
        <f t="shared" si="7"/>
        <v>2172.73</v>
      </c>
      <c r="R15" s="18">
        <f t="shared" si="8"/>
        <v>2172.7320648712484</v>
      </c>
    </row>
    <row r="16" spans="1:18" ht="39" customHeight="1">
      <c r="A16" s="2">
        <v>9</v>
      </c>
      <c r="B16" s="1" t="s">
        <v>16</v>
      </c>
      <c r="C16" s="1">
        <v>112</v>
      </c>
      <c r="D16" s="1">
        <v>50</v>
      </c>
      <c r="E16" s="1">
        <f>30-10+5-5+5</f>
        <v>25</v>
      </c>
      <c r="F16" s="18">
        <f t="shared" si="0"/>
        <v>0.5</v>
      </c>
      <c r="G16" s="18">
        <f>C16*F16</f>
        <v>56</v>
      </c>
      <c r="H16" s="1">
        <v>40</v>
      </c>
      <c r="I16" s="1">
        <v>0</v>
      </c>
      <c r="J16" s="18">
        <f t="shared" si="9"/>
        <v>96</v>
      </c>
      <c r="K16" s="1">
        <f>69.5+2-15+5-9-7.5+7.5</f>
        <v>52.5</v>
      </c>
      <c r="L16" s="18">
        <f t="shared" si="2"/>
        <v>148.5</v>
      </c>
      <c r="M16" s="18">
        <f t="shared" si="3"/>
        <v>1775.369234116747</v>
      </c>
      <c r="N16" s="18">
        <f t="shared" si="4"/>
        <v>1755.3920136903464</v>
      </c>
      <c r="O16" s="18">
        <f t="shared" si="5"/>
        <v>3530.7612478070932</v>
      </c>
      <c r="P16" s="18">
        <f t="shared" si="6"/>
        <v>1765.3806239035466</v>
      </c>
      <c r="Q16" s="18">
        <f t="shared" si="7"/>
        <v>1765.38</v>
      </c>
      <c r="R16" s="18">
        <f t="shared" si="8"/>
        <v>1765.3806239035466</v>
      </c>
    </row>
    <row r="17" spans="1:18" ht="32.25" customHeight="1">
      <c r="A17" s="2">
        <v>10</v>
      </c>
      <c r="B17" s="1" t="s">
        <v>23</v>
      </c>
      <c r="C17" s="1">
        <v>50</v>
      </c>
      <c r="D17" s="1">
        <v>20</v>
      </c>
      <c r="E17" s="1">
        <v>25</v>
      </c>
      <c r="F17" s="18">
        <f t="shared" si="0"/>
        <v>1.25</v>
      </c>
      <c r="G17" s="18">
        <f aca="true" t="shared" si="10" ref="G17:G22">C17</f>
        <v>50</v>
      </c>
      <c r="H17" s="1">
        <v>60</v>
      </c>
      <c r="I17" s="1">
        <v>0</v>
      </c>
      <c r="J17" s="18">
        <f>G17+H17+I17</f>
        <v>110</v>
      </c>
      <c r="K17" s="1">
        <f>52.5+2</f>
        <v>54.5</v>
      </c>
      <c r="L17" s="18">
        <f>J17+K17</f>
        <v>164.5</v>
      </c>
      <c r="M17" s="18">
        <f t="shared" si="3"/>
        <v>2034.2772474254396</v>
      </c>
      <c r="N17" s="18">
        <f t="shared" si="4"/>
        <v>1822.2640904023597</v>
      </c>
      <c r="O17" s="18">
        <f t="shared" si="5"/>
        <v>3856.541337827799</v>
      </c>
      <c r="P17" s="18">
        <f t="shared" si="6"/>
        <v>1928.2706689138995</v>
      </c>
      <c r="Q17" s="18">
        <f t="shared" si="7"/>
        <v>1928.27</v>
      </c>
      <c r="R17" s="18">
        <f t="shared" si="8"/>
        <v>1928.2706689138995</v>
      </c>
    </row>
    <row r="18" spans="1:18" ht="38.25" customHeight="1">
      <c r="A18" s="2">
        <v>11</v>
      </c>
      <c r="B18" s="1" t="s">
        <v>22</v>
      </c>
      <c r="C18" s="1">
        <v>70</v>
      </c>
      <c r="D18" s="1">
        <v>20</v>
      </c>
      <c r="E18" s="1">
        <v>22.5</v>
      </c>
      <c r="F18" s="18">
        <f t="shared" si="0"/>
        <v>1.125</v>
      </c>
      <c r="G18" s="18">
        <f t="shared" si="10"/>
        <v>70</v>
      </c>
      <c r="H18" s="1">
        <v>60</v>
      </c>
      <c r="I18" s="1">
        <v>0</v>
      </c>
      <c r="J18" s="18">
        <f t="shared" si="9"/>
        <v>130</v>
      </c>
      <c r="K18" s="1">
        <f>50.5+2</f>
        <v>52.5</v>
      </c>
      <c r="L18" s="18">
        <f>J18+K18</f>
        <v>182.5</v>
      </c>
      <c r="M18" s="18">
        <f t="shared" si="3"/>
        <v>2404.1458378664283</v>
      </c>
      <c r="N18" s="18">
        <f t="shared" si="4"/>
        <v>1755.3920136903464</v>
      </c>
      <c r="O18" s="18">
        <f t="shared" si="5"/>
        <v>4159.5378515567745</v>
      </c>
      <c r="P18" s="18">
        <f t="shared" si="6"/>
        <v>2079.7689257783873</v>
      </c>
      <c r="Q18" s="18">
        <f t="shared" si="7"/>
        <v>2079.77</v>
      </c>
      <c r="R18" s="18">
        <f t="shared" si="8"/>
        <v>2079.7689257783873</v>
      </c>
    </row>
    <row r="19" spans="1:18" ht="37.5" customHeight="1">
      <c r="A19" s="2">
        <v>12</v>
      </c>
      <c r="B19" s="1" t="s">
        <v>24</v>
      </c>
      <c r="C19" s="1">
        <v>120</v>
      </c>
      <c r="D19" s="1">
        <v>30</v>
      </c>
      <c r="E19" s="1">
        <f>30+15</f>
        <v>45</v>
      </c>
      <c r="F19" s="18">
        <f>E19/D19</f>
        <v>1.5</v>
      </c>
      <c r="G19" s="18">
        <f t="shared" si="10"/>
        <v>120</v>
      </c>
      <c r="H19" s="1">
        <v>40</v>
      </c>
      <c r="I19" s="1">
        <v>0</v>
      </c>
      <c r="J19" s="18">
        <f>G19+H19+I19</f>
        <v>160</v>
      </c>
      <c r="K19" s="1">
        <f>63+2+15-7.5+10</f>
        <v>82.5</v>
      </c>
      <c r="L19" s="18">
        <f>J19+K19</f>
        <v>242.5</v>
      </c>
      <c r="M19" s="18">
        <f t="shared" si="3"/>
        <v>2958.948723527912</v>
      </c>
      <c r="N19" s="18">
        <f t="shared" si="4"/>
        <v>2758.4731643705445</v>
      </c>
      <c r="O19" s="18">
        <f t="shared" si="5"/>
        <v>5717.421887898457</v>
      </c>
      <c r="P19" s="18">
        <f t="shared" si="6"/>
        <v>2858.7109439492283</v>
      </c>
      <c r="Q19" s="18">
        <f t="shared" si="7"/>
        <v>2858.71</v>
      </c>
      <c r="R19" s="18">
        <f t="shared" si="8"/>
        <v>2858.7109439492283</v>
      </c>
    </row>
    <row r="20" spans="1:18" ht="46.5" customHeight="1">
      <c r="A20" s="2">
        <v>13</v>
      </c>
      <c r="B20" s="1" t="s">
        <v>20</v>
      </c>
      <c r="C20" s="1">
        <v>60</v>
      </c>
      <c r="D20" s="1">
        <v>24</v>
      </c>
      <c r="E20" s="1">
        <v>30</v>
      </c>
      <c r="F20" s="18">
        <f aca="true" t="shared" si="11" ref="F20:F31">E20/D20</f>
        <v>1.25</v>
      </c>
      <c r="G20" s="18">
        <f t="shared" si="10"/>
        <v>60</v>
      </c>
      <c r="H20" s="1">
        <v>10</v>
      </c>
      <c r="I20" s="1">
        <v>0</v>
      </c>
      <c r="J20" s="18">
        <f t="shared" si="9"/>
        <v>70</v>
      </c>
      <c r="K20" s="1">
        <f>55+2</f>
        <v>57</v>
      </c>
      <c r="L20" s="18">
        <f>J20+K20</f>
        <v>127</v>
      </c>
      <c r="M20" s="18">
        <f t="shared" si="3"/>
        <v>1294.5400665434615</v>
      </c>
      <c r="N20" s="18">
        <f t="shared" si="4"/>
        <v>1905.8541862923762</v>
      </c>
      <c r="O20" s="18">
        <f t="shared" si="5"/>
        <v>3200.3942528358375</v>
      </c>
      <c r="P20" s="18">
        <f t="shared" si="6"/>
        <v>1600.1971264179188</v>
      </c>
      <c r="Q20" s="18">
        <f t="shared" si="7"/>
        <v>1600.2</v>
      </c>
      <c r="R20" s="18">
        <f t="shared" si="8"/>
        <v>1600.1971264179188</v>
      </c>
    </row>
    <row r="21" spans="1:18" ht="42.75" customHeight="1">
      <c r="A21" s="2">
        <v>14</v>
      </c>
      <c r="B21" s="1" t="s">
        <v>29</v>
      </c>
      <c r="C21" s="1">
        <v>201</v>
      </c>
      <c r="D21" s="1">
        <v>82</v>
      </c>
      <c r="E21" s="1">
        <v>210</v>
      </c>
      <c r="F21" s="18">
        <f t="shared" si="11"/>
        <v>2.5609756097560976</v>
      </c>
      <c r="G21" s="18">
        <f t="shared" si="10"/>
        <v>201</v>
      </c>
      <c r="H21" s="1">
        <v>40</v>
      </c>
      <c r="I21" s="1">
        <v>0</v>
      </c>
      <c r="J21" s="18">
        <f t="shared" si="9"/>
        <v>241</v>
      </c>
      <c r="K21" s="1">
        <f>269.29+3.75</f>
        <v>273.04</v>
      </c>
      <c r="L21" s="18">
        <f t="shared" si="2"/>
        <v>514.04</v>
      </c>
      <c r="M21" s="18">
        <f t="shared" si="3"/>
        <v>4456.916514813917</v>
      </c>
      <c r="N21" s="18">
        <f t="shared" si="4"/>
        <v>9129.375912724043</v>
      </c>
      <c r="O21" s="18">
        <f t="shared" si="5"/>
        <v>13586.29242753796</v>
      </c>
      <c r="P21" s="18">
        <f t="shared" si="6"/>
        <v>6793.14621376898</v>
      </c>
      <c r="Q21" s="18">
        <f t="shared" si="7"/>
        <v>6793.15</v>
      </c>
      <c r="R21" s="18">
        <f t="shared" si="8"/>
        <v>6793.14621376898</v>
      </c>
    </row>
    <row r="22" spans="1:18" ht="35.25" customHeight="1">
      <c r="A22" s="2">
        <v>15</v>
      </c>
      <c r="B22" s="1" t="s">
        <v>2</v>
      </c>
      <c r="C22" s="1">
        <v>80</v>
      </c>
      <c r="D22" s="1">
        <v>34</v>
      </c>
      <c r="E22" s="1">
        <v>64</v>
      </c>
      <c r="F22" s="18">
        <f t="shared" si="11"/>
        <v>1.8823529411764706</v>
      </c>
      <c r="G22" s="18">
        <f t="shared" si="10"/>
        <v>80</v>
      </c>
      <c r="H22" s="1">
        <f>60</f>
        <v>60</v>
      </c>
      <c r="I22" s="1">
        <f>40</f>
        <v>40</v>
      </c>
      <c r="J22" s="18">
        <f t="shared" si="9"/>
        <v>180</v>
      </c>
      <c r="K22" s="1">
        <f>100+2</f>
        <v>102</v>
      </c>
      <c r="L22" s="18">
        <f t="shared" si="2"/>
        <v>282</v>
      </c>
      <c r="M22" s="18">
        <f t="shared" si="3"/>
        <v>3328.817313968901</v>
      </c>
      <c r="N22" s="18">
        <f t="shared" si="4"/>
        <v>3410.4759123126732</v>
      </c>
      <c r="O22" s="18">
        <f t="shared" si="5"/>
        <v>6739.293226281574</v>
      </c>
      <c r="P22" s="18">
        <f t="shared" si="6"/>
        <v>3369.646613140787</v>
      </c>
      <c r="Q22" s="18">
        <f t="shared" si="7"/>
        <v>3369.65</v>
      </c>
      <c r="R22" s="18">
        <f t="shared" si="8"/>
        <v>3369.646613140787</v>
      </c>
    </row>
    <row r="23" spans="1:18" ht="35.25" customHeight="1">
      <c r="A23" s="2">
        <v>16</v>
      </c>
      <c r="B23" s="1" t="s">
        <v>37</v>
      </c>
      <c r="C23" s="1">
        <v>160</v>
      </c>
      <c r="D23" s="1">
        <v>57</v>
      </c>
      <c r="E23" s="1">
        <v>40</v>
      </c>
      <c r="F23" s="18">
        <f t="shared" si="11"/>
        <v>0.7017543859649122</v>
      </c>
      <c r="G23" s="18">
        <f>C23*F23</f>
        <v>112.28070175438596</v>
      </c>
      <c r="H23" s="1">
        <v>40</v>
      </c>
      <c r="I23" s="1">
        <v>0</v>
      </c>
      <c r="J23" s="18">
        <f t="shared" si="9"/>
        <v>152.28070175438597</v>
      </c>
      <c r="K23" s="1">
        <f>84.5+2</f>
        <v>86.5</v>
      </c>
      <c r="L23" s="18">
        <f t="shared" si="2"/>
        <v>238.78070175438597</v>
      </c>
      <c r="M23" s="18">
        <f t="shared" si="3"/>
        <v>2816.192425462969</v>
      </c>
      <c r="N23" s="18">
        <f t="shared" si="4"/>
        <v>2892.2173177945706</v>
      </c>
      <c r="O23" s="18">
        <f t="shared" si="5"/>
        <v>5708.40974325754</v>
      </c>
      <c r="P23" s="18">
        <f t="shared" si="6"/>
        <v>2854.20487162877</v>
      </c>
      <c r="Q23" s="18">
        <f t="shared" si="7"/>
        <v>2854.2</v>
      </c>
      <c r="R23" s="18">
        <f t="shared" si="8"/>
        <v>2854.20487162877</v>
      </c>
    </row>
    <row r="24" spans="1:18" ht="44.25" customHeight="1">
      <c r="A24" s="2">
        <v>17</v>
      </c>
      <c r="B24" s="1" t="s">
        <v>3</v>
      </c>
      <c r="C24" s="1">
        <v>52</v>
      </c>
      <c r="D24" s="1">
        <v>20</v>
      </c>
      <c r="E24" s="1">
        <v>20</v>
      </c>
      <c r="F24" s="18">
        <f t="shared" si="11"/>
        <v>1</v>
      </c>
      <c r="G24" s="18">
        <f>F24*C24</f>
        <v>52</v>
      </c>
      <c r="H24" s="1">
        <v>40</v>
      </c>
      <c r="I24" s="1">
        <v>0</v>
      </c>
      <c r="J24" s="18">
        <f t="shared" si="9"/>
        <v>92</v>
      </c>
      <c r="K24" s="1">
        <f>45+2</f>
        <v>47</v>
      </c>
      <c r="L24" s="18">
        <f t="shared" si="2"/>
        <v>139</v>
      </c>
      <c r="M24" s="18">
        <f t="shared" si="3"/>
        <v>1701.3955160285493</v>
      </c>
      <c r="N24" s="18">
        <f t="shared" si="4"/>
        <v>1571.49380273231</v>
      </c>
      <c r="O24" s="18">
        <f t="shared" si="5"/>
        <v>3272.889318760859</v>
      </c>
      <c r="P24" s="18">
        <f t="shared" si="6"/>
        <v>1636.4446593804296</v>
      </c>
      <c r="Q24" s="18">
        <f t="shared" si="7"/>
        <v>1636.44</v>
      </c>
      <c r="R24" s="18">
        <f t="shared" si="8"/>
        <v>1636.4446593804296</v>
      </c>
    </row>
    <row r="25" spans="1:18" ht="37.5" customHeight="1">
      <c r="A25" s="2">
        <v>18</v>
      </c>
      <c r="B25" s="1" t="s">
        <v>21</v>
      </c>
      <c r="C25" s="1">
        <v>275</v>
      </c>
      <c r="D25" s="1">
        <v>108</v>
      </c>
      <c r="E25" s="1">
        <v>85</v>
      </c>
      <c r="F25" s="18">
        <f t="shared" si="11"/>
        <v>0.7870370370370371</v>
      </c>
      <c r="G25" s="18">
        <f>F25*C25</f>
        <v>216.4351851851852</v>
      </c>
      <c r="H25" s="1">
        <f>300-60</f>
        <v>240</v>
      </c>
      <c r="I25" s="1">
        <v>40</v>
      </c>
      <c r="J25" s="18">
        <f t="shared" si="9"/>
        <v>496.4351851851852</v>
      </c>
      <c r="K25" s="1">
        <f>153+4.06</f>
        <v>157.06</v>
      </c>
      <c r="L25" s="18">
        <f>J25+K25</f>
        <v>653.4951851851852</v>
      </c>
      <c r="M25" s="18">
        <f t="shared" si="3"/>
        <v>9180.78910948779</v>
      </c>
      <c r="N25" s="18">
        <f t="shared" si="4"/>
        <v>5251.464184194397</v>
      </c>
      <c r="O25" s="18">
        <f t="shared" si="5"/>
        <v>14432.253293682188</v>
      </c>
      <c r="P25" s="18">
        <f t="shared" si="6"/>
        <v>7216.126646841094</v>
      </c>
      <c r="Q25" s="18">
        <f t="shared" si="7"/>
        <v>7216.13</v>
      </c>
      <c r="R25" s="18">
        <f t="shared" si="8"/>
        <v>7216.126646841094</v>
      </c>
    </row>
    <row r="26" spans="1:18" ht="37.5" customHeight="1">
      <c r="A26" s="2">
        <v>19</v>
      </c>
      <c r="B26" s="1" t="s">
        <v>26</v>
      </c>
      <c r="C26" s="1">
        <v>124</v>
      </c>
      <c r="D26" s="1">
        <v>43</v>
      </c>
      <c r="E26" s="1">
        <v>57.5</v>
      </c>
      <c r="F26" s="18">
        <f t="shared" si="11"/>
        <v>1.3372093023255813</v>
      </c>
      <c r="G26" s="18">
        <f>C26</f>
        <v>124</v>
      </c>
      <c r="H26" s="1">
        <f>40+20</f>
        <v>60</v>
      </c>
      <c r="I26" s="1">
        <v>0</v>
      </c>
      <c r="J26" s="18">
        <f>G26+H26+I26</f>
        <v>184</v>
      </c>
      <c r="K26" s="1">
        <f>124.5+3.75</f>
        <v>128.25</v>
      </c>
      <c r="L26" s="18">
        <f>J26+K26</f>
        <v>312.25</v>
      </c>
      <c r="M26" s="18">
        <f t="shared" si="3"/>
        <v>3402.7910320570986</v>
      </c>
      <c r="N26" s="18">
        <f t="shared" si="4"/>
        <v>4288.171919157846</v>
      </c>
      <c r="O26" s="18">
        <f t="shared" si="5"/>
        <v>7690.962951214944</v>
      </c>
      <c r="P26" s="18">
        <f t="shared" si="6"/>
        <v>3845.481475607472</v>
      </c>
      <c r="Q26" s="18">
        <f t="shared" si="7"/>
        <v>3845.48</v>
      </c>
      <c r="R26" s="18">
        <f t="shared" si="8"/>
        <v>3845.481475607472</v>
      </c>
    </row>
    <row r="27" spans="1:18" ht="37.5" customHeight="1">
      <c r="A27" s="2">
        <v>20</v>
      </c>
      <c r="B27" s="1" t="s">
        <v>31</v>
      </c>
      <c r="C27" s="1">
        <v>65</v>
      </c>
      <c r="D27" s="1">
        <v>25</v>
      </c>
      <c r="E27" s="1">
        <v>24</v>
      </c>
      <c r="F27" s="18">
        <f t="shared" si="11"/>
        <v>0.96</v>
      </c>
      <c r="G27" s="18">
        <f>C27*F27</f>
        <v>62.4</v>
      </c>
      <c r="H27" s="1">
        <v>40</v>
      </c>
      <c r="I27" s="1">
        <v>0</v>
      </c>
      <c r="J27" s="18">
        <f>G27+H27+I27</f>
        <v>102.4</v>
      </c>
      <c r="K27" s="1">
        <f>55+2</f>
        <v>57</v>
      </c>
      <c r="L27" s="18">
        <f>J27+K27</f>
        <v>159.4</v>
      </c>
      <c r="M27" s="18">
        <f t="shared" si="3"/>
        <v>1893.7271830578638</v>
      </c>
      <c r="N27" s="18">
        <f t="shared" si="4"/>
        <v>1905.8541862923762</v>
      </c>
      <c r="O27" s="18">
        <f t="shared" si="5"/>
        <v>3799.58136935024</v>
      </c>
      <c r="P27" s="18">
        <f t="shared" si="6"/>
        <v>1899.79068467512</v>
      </c>
      <c r="Q27" s="18">
        <f t="shared" si="7"/>
        <v>1899.79</v>
      </c>
      <c r="R27" s="18">
        <f t="shared" si="8"/>
        <v>1899.79068467512</v>
      </c>
    </row>
    <row r="28" spans="1:18" ht="37.5" customHeight="1">
      <c r="A28" s="2">
        <v>21</v>
      </c>
      <c r="B28" s="1" t="s">
        <v>35</v>
      </c>
      <c r="C28" s="1">
        <v>140</v>
      </c>
      <c r="D28" s="1">
        <v>50</v>
      </c>
      <c r="E28" s="1">
        <v>50</v>
      </c>
      <c r="F28" s="18">
        <f t="shared" si="11"/>
        <v>1</v>
      </c>
      <c r="G28" s="18">
        <f>F28*C28</f>
        <v>140</v>
      </c>
      <c r="H28" s="1">
        <v>40</v>
      </c>
      <c r="I28" s="1">
        <v>0</v>
      </c>
      <c r="J28" s="18">
        <f>G28+H28+I28</f>
        <v>180</v>
      </c>
      <c r="K28" s="1">
        <f>90+2</f>
        <v>92</v>
      </c>
      <c r="L28" s="18">
        <f>J28+K28</f>
        <v>272</v>
      </c>
      <c r="M28" s="18">
        <f t="shared" si="3"/>
        <v>3328.817313968901</v>
      </c>
      <c r="N28" s="18">
        <f t="shared" si="4"/>
        <v>3076.115528752607</v>
      </c>
      <c r="O28" s="18">
        <f t="shared" si="5"/>
        <v>6404.932842721508</v>
      </c>
      <c r="P28" s="18">
        <f t="shared" si="6"/>
        <v>3202.466421360754</v>
      </c>
      <c r="Q28" s="18">
        <f t="shared" si="7"/>
        <v>3202.47</v>
      </c>
      <c r="R28" s="18">
        <f t="shared" si="8"/>
        <v>3202.466421360754</v>
      </c>
    </row>
    <row r="29" spans="1:18" ht="32.25" customHeight="1">
      <c r="A29" s="2">
        <v>22</v>
      </c>
      <c r="B29" s="1" t="s">
        <v>36</v>
      </c>
      <c r="C29" s="1">
        <v>95</v>
      </c>
      <c r="D29" s="1">
        <v>34</v>
      </c>
      <c r="E29" s="1">
        <v>62.5</v>
      </c>
      <c r="F29" s="18">
        <f>E29/D29</f>
        <v>1.838235294117647</v>
      </c>
      <c r="G29" s="18">
        <f>C29</f>
        <v>95</v>
      </c>
      <c r="H29" s="1">
        <f>60-20</f>
        <v>40</v>
      </c>
      <c r="I29" s="1">
        <v>0</v>
      </c>
      <c r="J29" s="18">
        <f>I29+H29+G29</f>
        <v>135</v>
      </c>
      <c r="K29" s="1">
        <v>113.5</v>
      </c>
      <c r="L29" s="18">
        <f>J29+K29</f>
        <v>248.5</v>
      </c>
      <c r="M29" s="18">
        <f t="shared" si="3"/>
        <v>2496.612985476676</v>
      </c>
      <c r="N29" s="18">
        <f t="shared" si="4"/>
        <v>3794.990353406749</v>
      </c>
      <c r="O29" s="18">
        <f t="shared" si="5"/>
        <v>6291.603338883425</v>
      </c>
      <c r="P29" s="18">
        <f t="shared" si="6"/>
        <v>3145.8016694417124</v>
      </c>
      <c r="Q29" s="18">
        <f t="shared" si="7"/>
        <v>3145.8</v>
      </c>
      <c r="R29" s="18">
        <f t="shared" si="8"/>
        <v>3145.8016694417124</v>
      </c>
    </row>
    <row r="30" spans="1:18" ht="44.25" customHeight="1">
      <c r="A30" s="2">
        <v>23</v>
      </c>
      <c r="B30" s="1" t="s">
        <v>38</v>
      </c>
      <c r="C30" s="1">
        <f>110-10</f>
        <v>100</v>
      </c>
      <c r="D30" s="1">
        <f>46-5</f>
        <v>41</v>
      </c>
      <c r="E30" s="1">
        <v>35</v>
      </c>
      <c r="F30" s="18">
        <f>E30/D30</f>
        <v>0.8536585365853658</v>
      </c>
      <c r="G30" s="18">
        <f>C30*F30</f>
        <v>85.36585365853658</v>
      </c>
      <c r="H30" s="1">
        <v>60</v>
      </c>
      <c r="I30" s="1">
        <v>0</v>
      </c>
      <c r="J30" s="18">
        <f>G30+H30+I30</f>
        <v>145.3658536585366</v>
      </c>
      <c r="K30" s="1">
        <f>77+3.43</f>
        <v>80.43</v>
      </c>
      <c r="L30" s="18">
        <f t="shared" si="2"/>
        <v>225.7958536585366</v>
      </c>
      <c r="M30" s="18">
        <f t="shared" si="3"/>
        <v>2688.3131695467005</v>
      </c>
      <c r="N30" s="18">
        <f t="shared" si="4"/>
        <v>2689.260564973611</v>
      </c>
      <c r="O30" s="18">
        <f t="shared" si="5"/>
        <v>5377.5737345203115</v>
      </c>
      <c r="P30" s="18">
        <f t="shared" si="6"/>
        <v>2688.7868672601558</v>
      </c>
      <c r="Q30" s="18">
        <f t="shared" si="7"/>
        <v>2688.79</v>
      </c>
      <c r="R30" s="18">
        <f t="shared" si="8"/>
        <v>2688.7868672601558</v>
      </c>
    </row>
    <row r="31" spans="1:18" ht="63.75" customHeight="1">
      <c r="A31" s="2">
        <v>24</v>
      </c>
      <c r="B31" s="1" t="s">
        <v>18</v>
      </c>
      <c r="C31" s="1">
        <v>275</v>
      </c>
      <c r="D31" s="1">
        <v>105</v>
      </c>
      <c r="E31" s="1">
        <v>122</v>
      </c>
      <c r="F31" s="18">
        <f t="shared" si="11"/>
        <v>1.161904761904762</v>
      </c>
      <c r="G31" s="18">
        <f>C31</f>
        <v>275</v>
      </c>
      <c r="H31" s="1">
        <v>60</v>
      </c>
      <c r="I31" s="1">
        <v>40</v>
      </c>
      <c r="J31" s="18">
        <f>G31+H31+I31</f>
        <v>375</v>
      </c>
      <c r="K31" s="1">
        <f>183+2</f>
        <v>185</v>
      </c>
      <c r="L31" s="18">
        <f t="shared" si="2"/>
        <v>560</v>
      </c>
      <c r="M31" s="18">
        <f t="shared" si="3"/>
        <v>6935.036070768544</v>
      </c>
      <c r="N31" s="18">
        <f t="shared" si="4"/>
        <v>6185.66709586122</v>
      </c>
      <c r="O31" s="18">
        <f t="shared" si="5"/>
        <v>13120.703166629764</v>
      </c>
      <c r="P31" s="18">
        <f t="shared" si="6"/>
        <v>6560.351583314882</v>
      </c>
      <c r="Q31" s="18">
        <f t="shared" si="7"/>
        <v>6560.35</v>
      </c>
      <c r="R31" s="18">
        <f t="shared" si="8"/>
        <v>6560.351583314882</v>
      </c>
    </row>
    <row r="32" spans="1:18" ht="27.75" customHeight="1">
      <c r="A32" s="2"/>
      <c r="B32" s="1" t="s">
        <v>6</v>
      </c>
      <c r="C32" s="18">
        <f>SUM(C7:C31)</f>
        <v>3098</v>
      </c>
      <c r="D32" s="18">
        <f>SUM(D7:D31)</f>
        <v>1166</v>
      </c>
      <c r="E32" s="18">
        <f>SUM(E7:E31)</f>
        <v>1351.5</v>
      </c>
      <c r="F32" s="18"/>
      <c r="G32" s="18">
        <f>SUM(G7:G31)</f>
        <v>2909.074472427682</v>
      </c>
      <c r="H32" s="1">
        <f>SUM(H7:H31)</f>
        <v>1350</v>
      </c>
      <c r="I32" s="1">
        <f>SUM(I8:I31)</f>
        <v>136</v>
      </c>
      <c r="J32" s="18">
        <f aca="true" t="shared" si="12" ref="J32:O32">SUM(J7:J31)</f>
        <v>4395.074472427682</v>
      </c>
      <c r="K32" s="18">
        <f t="shared" si="12"/>
        <v>2430.91</v>
      </c>
      <c r="L32" s="18">
        <f t="shared" si="12"/>
        <v>6825.984472427682</v>
      </c>
      <c r="M32" s="18">
        <f t="shared" si="12"/>
        <v>81280</v>
      </c>
      <c r="N32" s="18">
        <f t="shared" si="12"/>
        <v>81280</v>
      </c>
      <c r="O32" s="18">
        <f t="shared" si="12"/>
        <v>162560.00000000003</v>
      </c>
      <c r="P32" s="18">
        <f>SUM(P7:P31)</f>
        <v>81280.00000000001</v>
      </c>
      <c r="Q32" s="18">
        <f>SUM(Q7:Q31)</f>
        <v>81280</v>
      </c>
      <c r="R32" s="18">
        <f>SUM(R7:R31)</f>
        <v>81280.00000000001</v>
      </c>
    </row>
    <row r="33" spans="1:18" ht="24.75" customHeight="1">
      <c r="A33" s="4"/>
      <c r="B33" s="5" t="s">
        <v>44</v>
      </c>
      <c r="C33" s="24">
        <v>3377000</v>
      </c>
      <c r="D33" s="6"/>
      <c r="E33" s="6"/>
      <c r="F33" s="6"/>
      <c r="G33" s="26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</row>
    <row r="34" spans="1:18" ht="43.5" customHeight="1">
      <c r="A34" s="4"/>
      <c r="B34" s="23" t="s">
        <v>46</v>
      </c>
      <c r="C34" s="24">
        <v>3197120</v>
      </c>
      <c r="D34" s="37"/>
      <c r="E34" s="6"/>
      <c r="F34" s="6"/>
      <c r="G34" s="6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</row>
    <row r="35" spans="1:18" ht="32.25" customHeight="1">
      <c r="A35" s="4"/>
      <c r="B35" s="5" t="s">
        <v>57</v>
      </c>
      <c r="C35" s="24">
        <f>C33-C34</f>
        <v>179880</v>
      </c>
      <c r="D35" s="37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</row>
    <row r="36" spans="1:18" ht="15.75" customHeight="1">
      <c r="A36" s="4"/>
      <c r="B36" s="5"/>
      <c r="C36" s="24"/>
      <c r="D36" s="37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</row>
    <row r="37" spans="1:18" ht="14.25" customHeight="1">
      <c r="A37" s="4"/>
      <c r="B37" s="23"/>
      <c r="C37" s="24"/>
      <c r="D37" s="37"/>
      <c r="E37" s="6"/>
      <c r="F37" s="6"/>
      <c r="G37" s="6"/>
      <c r="H37" s="4"/>
      <c r="I37" s="4"/>
      <c r="J37" s="6"/>
      <c r="K37" s="6"/>
      <c r="L37" s="6"/>
      <c r="M37" s="6"/>
      <c r="N37" s="6"/>
      <c r="O37" s="6"/>
      <c r="P37" s="6"/>
      <c r="Q37" s="6"/>
      <c r="R37" s="6"/>
    </row>
    <row r="38" spans="1:18" ht="25.5" customHeight="1">
      <c r="A38" s="4"/>
      <c r="B38" s="23" t="s">
        <v>39</v>
      </c>
      <c r="C38" s="32" t="s">
        <v>40</v>
      </c>
      <c r="D38" s="43"/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  <c r="P38" s="6"/>
      <c r="Q38" s="6"/>
      <c r="R38" s="6"/>
    </row>
    <row r="39" spans="1:18" ht="49.5" customHeight="1">
      <c r="A39" s="4"/>
      <c r="B39" s="36" t="s">
        <v>45</v>
      </c>
      <c r="C39" s="3">
        <f>C33*10.3%</f>
        <v>347831</v>
      </c>
      <c r="D39" s="37"/>
      <c r="E39" s="6"/>
      <c r="F39" s="6"/>
      <c r="G39" s="6"/>
      <c r="H39" s="4"/>
      <c r="I39" s="4"/>
      <c r="J39" s="6"/>
      <c r="K39" s="6"/>
      <c r="L39" s="6"/>
      <c r="M39" s="6"/>
      <c r="N39" s="6"/>
      <c r="O39" s="6"/>
      <c r="P39" s="6"/>
      <c r="Q39" s="6"/>
      <c r="R39" s="6"/>
    </row>
    <row r="40" spans="1:18" ht="34.5" customHeight="1">
      <c r="A40" s="4"/>
      <c r="B40" s="33" t="s">
        <v>58</v>
      </c>
      <c r="C40" s="3">
        <v>330511</v>
      </c>
      <c r="D40" s="37"/>
      <c r="E40" s="6"/>
      <c r="F40" s="6"/>
      <c r="G40" s="6"/>
      <c r="H40" s="4"/>
      <c r="I40" s="4"/>
      <c r="J40" s="6"/>
      <c r="K40" s="6"/>
      <c r="L40" s="6"/>
      <c r="M40" s="6"/>
      <c r="N40" s="6"/>
      <c r="O40" s="6"/>
      <c r="P40" s="39"/>
      <c r="Q40" s="39"/>
      <c r="R40" s="39"/>
    </row>
    <row r="41" spans="1:15" ht="57" customHeight="1">
      <c r="A41" s="4"/>
      <c r="B41" s="35" t="s">
        <v>47</v>
      </c>
      <c r="C41" s="3">
        <f>C39-C40</f>
        <v>17320</v>
      </c>
      <c r="D41" s="37"/>
      <c r="E41" s="41"/>
      <c r="F41" s="6"/>
      <c r="G41" s="6"/>
      <c r="H41" s="4"/>
      <c r="I41" s="4"/>
      <c r="J41" s="6"/>
      <c r="K41" s="6"/>
      <c r="L41" s="6"/>
      <c r="M41" s="6"/>
      <c r="N41" s="6"/>
      <c r="O41" s="6"/>
    </row>
    <row r="42" spans="1:15" ht="20.25" customHeight="1">
      <c r="A42" s="4"/>
      <c r="B42" s="23"/>
      <c r="C42" s="24"/>
      <c r="D42" s="37"/>
      <c r="E42" s="6"/>
      <c r="F42" s="6"/>
      <c r="G42" s="6"/>
      <c r="H42" s="4"/>
      <c r="I42" s="4"/>
      <c r="J42" s="6"/>
      <c r="K42" s="6"/>
      <c r="L42" s="6"/>
      <c r="M42" s="6"/>
      <c r="N42" s="6"/>
      <c r="O42" s="6"/>
    </row>
    <row r="43" spans="1:15" ht="33.75" customHeight="1">
      <c r="A43" s="4"/>
      <c r="B43" s="8" t="s">
        <v>48</v>
      </c>
      <c r="C43" s="3">
        <f>C33-C39</f>
        <v>3029169</v>
      </c>
      <c r="D43" s="37"/>
      <c r="E43" s="6"/>
      <c r="F43" s="6"/>
      <c r="G43" s="6"/>
      <c r="H43" s="4"/>
      <c r="I43" s="4"/>
      <c r="J43" s="6"/>
      <c r="K43" s="6"/>
      <c r="L43" s="6"/>
      <c r="M43" s="6"/>
      <c r="N43" s="6"/>
      <c r="O43" s="6"/>
    </row>
    <row r="44" spans="1:15" ht="24" customHeight="1">
      <c r="A44" s="4"/>
      <c r="B44" s="35" t="s">
        <v>49</v>
      </c>
      <c r="C44" s="24">
        <v>2866609</v>
      </c>
      <c r="D44" s="37"/>
      <c r="E44" s="27"/>
      <c r="F44" s="6"/>
      <c r="G44" s="6"/>
      <c r="H44" s="4"/>
      <c r="I44" s="4"/>
      <c r="J44" s="6"/>
      <c r="K44" s="6"/>
      <c r="L44" s="6"/>
      <c r="M44" s="6"/>
      <c r="N44" s="6"/>
      <c r="O44" s="6"/>
    </row>
    <row r="45" spans="1:13" ht="67.5" customHeight="1">
      <c r="A45" s="4"/>
      <c r="B45" s="35" t="s">
        <v>50</v>
      </c>
      <c r="C45" s="3">
        <f>C43-C44</f>
        <v>162560</v>
      </c>
      <c r="D45" s="43"/>
      <c r="E45" s="28"/>
      <c r="F45" s="20"/>
      <c r="G45" s="10"/>
      <c r="K45" s="15"/>
      <c r="L45" s="15"/>
      <c r="M45" s="15"/>
    </row>
    <row r="46" spans="1:14" ht="22.5" customHeight="1">
      <c r="A46" s="4"/>
      <c r="B46" s="11" t="s">
        <v>30</v>
      </c>
      <c r="D46" s="3">
        <f>C45/2</f>
        <v>81280</v>
      </c>
      <c r="E46" s="12"/>
      <c r="F46" s="8"/>
      <c r="G46" s="10"/>
      <c r="M46" s="10"/>
      <c r="N46" s="10"/>
    </row>
    <row r="47" spans="1:14" ht="24" customHeight="1">
      <c r="A47" s="4"/>
      <c r="B47" s="11" t="s">
        <v>51</v>
      </c>
      <c r="D47" s="13">
        <f>D46/J32</f>
        <v>18.49342952204945</v>
      </c>
      <c r="E47" s="12"/>
      <c r="M47" s="10"/>
      <c r="N47" s="10"/>
    </row>
    <row r="48" spans="1:14" ht="21" customHeight="1">
      <c r="A48" s="4"/>
      <c r="B48" s="11" t="s">
        <v>41</v>
      </c>
      <c r="D48" s="3">
        <f>C45/2</f>
        <v>81280</v>
      </c>
      <c r="E48" s="14"/>
      <c r="K48" s="10"/>
      <c r="M48" s="10"/>
      <c r="N48" s="10"/>
    </row>
    <row r="49" spans="1:12" ht="18.75" customHeight="1">
      <c r="A49" s="4"/>
      <c r="B49" s="11" t="s">
        <v>52</v>
      </c>
      <c r="D49" s="13">
        <f>D48/K32</f>
        <v>33.4360383560066</v>
      </c>
      <c r="E49" s="14"/>
      <c r="F49" s="9"/>
      <c r="K49" s="10"/>
      <c r="L49" s="10"/>
    </row>
    <row r="50" spans="1:6" ht="19.5" customHeight="1">
      <c r="A50" s="11"/>
      <c r="B50" s="11"/>
      <c r="D50" s="13"/>
      <c r="E50" s="14"/>
      <c r="F50" s="9"/>
    </row>
    <row r="51" ht="14.25">
      <c r="B51" s="30"/>
    </row>
    <row r="52" spans="2:4" ht="15.75">
      <c r="B52" s="10"/>
      <c r="D52" s="43"/>
    </row>
    <row r="53" ht="12.75">
      <c r="D53" s="43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50" r:id="rId1"/>
  <headerFooter alignWithMargins="0">
    <oddFooter>&amp;C&amp;P</oddFooter>
  </headerFooter>
  <rowBreaks count="1" manualBreakCount="1">
    <brk id="26" max="22" man="1"/>
  </rowBreaks>
  <ignoredErrors>
    <ignoredError sqref="J29 I32 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2021-10-04T16:25:17Z</cp:lastPrinted>
  <dcterms:created xsi:type="dcterms:W3CDTF">2008-04-09T11:23:43Z</dcterms:created>
  <dcterms:modified xsi:type="dcterms:W3CDTF">2021-10-05T12:56:27Z</dcterms:modified>
  <cp:category/>
  <cp:version/>
  <cp:contentType/>
  <cp:contentStatus/>
</cp:coreProperties>
</file>